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85" windowHeight="8790" activeTab="0"/>
  </bookViews>
  <sheets>
    <sheet name="ввод данных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<sst xmlns="http://schemas.openxmlformats.org/spreadsheetml/2006/main" count="64" uniqueCount="45">
  <si>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Сторона "А" шкафа</t>
  </si>
  <si>
    <t>Сторона "В" шкафа</t>
  </si>
  <si>
    <t>Сторона "С" шкафа</t>
  </si>
  <si>
    <t>Условный радиус</t>
  </si>
  <si>
    <t>Высота проёма</t>
  </si>
  <si>
    <t>Количество дверей</t>
  </si>
  <si>
    <t>Количество секций в двери</t>
  </si>
  <si>
    <t>Диагональ шкафа (хорда)</t>
  </si>
  <si>
    <t>мм</t>
  </si>
  <si>
    <t>Длина трека</t>
  </si>
  <si>
    <t>м</t>
  </si>
  <si>
    <t>Длина ручек</t>
  </si>
  <si>
    <t>Длина уплотнителя</t>
  </si>
  <si>
    <t>Длина шлегеля</t>
  </si>
  <si>
    <t>Шлегель</t>
  </si>
  <si>
    <t>к-т</t>
  </si>
  <si>
    <t>Уплотнитель</t>
  </si>
  <si>
    <t>Длина 2-х нижних треков</t>
  </si>
  <si>
    <t>Списки</t>
  </si>
  <si>
    <t>Длина горизонталей</t>
  </si>
  <si>
    <t>Ручка профиль открытая</t>
  </si>
  <si>
    <t>Ручка профиль закрытая</t>
  </si>
  <si>
    <t>Ручка профиль квадро</t>
  </si>
  <si>
    <t>м.</t>
  </si>
  <si>
    <t>Длины 3-х верхних треков</t>
  </si>
  <si>
    <t>Ширина двери</t>
  </si>
  <si>
    <t>Длина  горизонтали</t>
  </si>
  <si>
    <t>Высота ручки профиля</t>
  </si>
  <si>
    <t>Количество комплектов роликов</t>
  </si>
  <si>
    <t>шт</t>
  </si>
  <si>
    <t>3 секции</t>
  </si>
  <si>
    <t>4 секции</t>
  </si>
  <si>
    <t>изменение размера секции</t>
  </si>
  <si>
    <t>ширина дв.расчетн</t>
  </si>
  <si>
    <t>5 секций</t>
  </si>
  <si>
    <t>6 секций</t>
  </si>
  <si>
    <t>кол-во секций в двери</t>
  </si>
  <si>
    <t>Сторона "А"</t>
  </si>
  <si>
    <t>Ролики (петли)</t>
  </si>
  <si>
    <t>Винт соединительный</t>
  </si>
  <si>
    <t xml:space="preserve">Калькулятор расчета раздвижной системы "Астрель" </t>
  </si>
  <si>
    <t xml:space="preserve">    Выгнутый шкаф</t>
  </si>
  <si>
    <t xml:space="preserve">    Вогнутый шкаф</t>
  </si>
  <si>
    <t>вогнутый, выгнутый</t>
  </si>
  <si>
    <t>карта расчета высоты наполнения двери и отверстий ручки профиля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</si>
</sst>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.##0.0"/>
    <numFmt numFmtId="167" formatCode="#.##0."/>
    <numFmt numFmtId="168" formatCode="#.##0"/>
    <numFmt numFmtId="169" formatCode="#.##"/>
    <numFmt numFmtId="170" formatCode="#.#"/>
    <numFmt numFmtId="171" formatCode="#"/>
    <numFmt numFmtId="172" formatCode="#.##0.00"/>
    <numFmt numFmtId="173" formatCode="#.##0.000"/>
    <numFmt numFmtId="174" formatCode="0.000"/>
    <numFmt numFmtId="175" formatCode="0.0000"/>
    <numFmt numFmtId="176" formatCode="#.0"/>
    <numFmt numFmtId="177" formatCode="#.00"/>
    <numFmt numFmtId="178" formatCode="#.000"/>
    <numFmt numFmtId="179" formatCode="#.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i/>
      <sz val="11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171" fontId="3" fillId="33" borderId="10" xfId="0" applyNumberFormat="1" applyFont="1" applyFill="1" applyBorder="1" applyAlignment="1" applyProtection="1">
      <alignment/>
      <protection hidden="1"/>
    </xf>
    <xf numFmtId="171" fontId="3" fillId="33" borderId="0" xfId="0" applyNumberFormat="1" applyFont="1" applyFill="1" applyAlignment="1" applyProtection="1">
      <alignment/>
      <protection hidden="1"/>
    </xf>
    <xf numFmtId="1" fontId="3" fillId="33" borderId="0" xfId="0" applyNumberFormat="1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1" fontId="2" fillId="33" borderId="0" xfId="0" applyNumberFormat="1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3" xfId="0" applyBorder="1" applyAlignment="1">
      <alignment/>
    </xf>
    <xf numFmtId="0" fontId="1" fillId="34" borderId="19" xfId="0" applyFont="1" applyFill="1" applyBorder="1" applyAlignment="1">
      <alignment/>
    </xf>
    <xf numFmtId="171" fontId="2" fillId="0" borderId="10" xfId="0" applyNumberFormat="1" applyFont="1" applyFill="1" applyBorder="1" applyAlignment="1" applyProtection="1">
      <alignment/>
      <protection hidden="1" locked="0"/>
    </xf>
    <xf numFmtId="171" fontId="2" fillId="0" borderId="24" xfId="0" applyNumberFormat="1" applyFont="1" applyFill="1" applyBorder="1" applyAlignment="1" applyProtection="1">
      <alignment/>
      <protection hidden="1" locked="0"/>
    </xf>
    <xf numFmtId="171" fontId="2" fillId="0" borderId="25" xfId="0" applyNumberFormat="1" applyFont="1" applyFill="1" applyBorder="1" applyAlignment="1" applyProtection="1">
      <alignment/>
      <protection hidden="1" locked="0"/>
    </xf>
    <xf numFmtId="0" fontId="2" fillId="34" borderId="22" xfId="0" applyFont="1" applyFill="1" applyBorder="1" applyAlignment="1" applyProtection="1">
      <alignment horizontal="right"/>
      <protection hidden="1" locked="0"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left"/>
    </xf>
    <xf numFmtId="0" fontId="4" fillId="0" borderId="27" xfId="0" applyFont="1" applyBorder="1" applyAlignment="1">
      <alignment/>
    </xf>
    <xf numFmtId="0" fontId="2" fillId="34" borderId="14" xfId="0" applyFont="1" applyFill="1" applyBorder="1" applyAlignment="1" applyProtection="1">
      <alignment/>
      <protection hidden="1" locked="0"/>
    </xf>
    <xf numFmtId="1" fontId="2" fillId="34" borderId="16" xfId="0" applyNumberFormat="1" applyFont="1" applyFill="1" applyBorder="1" applyAlignment="1" applyProtection="1">
      <alignment/>
      <protection hidden="1" locked="0"/>
    </xf>
    <xf numFmtId="0" fontId="0" fillId="33" borderId="0" xfId="0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/>
      <protection hidden="1"/>
    </xf>
    <xf numFmtId="3" fontId="2" fillId="33" borderId="0" xfId="0" applyNumberFormat="1" applyFont="1" applyFill="1" applyAlignment="1" applyProtection="1">
      <alignment horizontal="center" vertical="center"/>
      <protection hidden="1"/>
    </xf>
    <xf numFmtId="1" fontId="0" fillId="33" borderId="0" xfId="0" applyNumberFormat="1" applyFill="1" applyAlignment="1" applyProtection="1">
      <alignment/>
      <protection hidden="1"/>
    </xf>
    <xf numFmtId="171" fontId="5" fillId="33" borderId="0" xfId="0" applyNumberFormat="1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2" fillId="33" borderId="10" xfId="0" applyFont="1" applyFill="1" applyBorder="1" applyAlignment="1" applyProtection="1">
      <alignment/>
      <protection hidden="1" locked="0"/>
    </xf>
    <xf numFmtId="171" fontId="2" fillId="0" borderId="10" xfId="0" applyNumberFormat="1" applyFont="1" applyFill="1" applyBorder="1" applyAlignment="1" applyProtection="1">
      <alignment/>
      <protection locked="0"/>
    </xf>
    <xf numFmtId="171" fontId="2" fillId="0" borderId="10" xfId="0" applyNumberFormat="1" applyFont="1" applyBorder="1" applyAlignment="1" applyProtection="1">
      <alignment/>
      <protection hidden="1"/>
    </xf>
    <xf numFmtId="1" fontId="2" fillId="35" borderId="15" xfId="0" applyNumberFormat="1" applyFont="1" applyFill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0" xfId="0" applyFill="1" applyAlignment="1" applyProtection="1">
      <alignment/>
      <protection hidden="1"/>
    </xf>
    <xf numFmtId="1" fontId="0" fillId="0" borderId="12" xfId="0" applyNumberFormat="1" applyBorder="1" applyAlignment="1">
      <alignment/>
    </xf>
    <xf numFmtId="1" fontId="4" fillId="0" borderId="0" xfId="0" applyNumberFormat="1" applyFont="1" applyAlignment="1">
      <alignment/>
    </xf>
    <xf numFmtId="0" fontId="14" fillId="34" borderId="12" xfId="0" applyFont="1" applyFill="1" applyBorder="1" applyAlignment="1">
      <alignment/>
    </xf>
    <xf numFmtId="1" fontId="2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14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3"/>
  </sheetPr>
  <dimension ref="A3:S99"/>
  <sheetViews>
    <sheetView showGridLines="0" tabSelected="1" zoomScalePageLayoutView="0" workbookViewId="0" topLeftCell="A1">
      <selection activeCell="E11" sqref="E11"/>
    </sheetView>
  </sheetViews>
  <sheetFormatPr defaultColWidth="9.00390625" defaultRowHeight="12.75"/>
  <cols>
    <col min="2" max="2" width="28.875" style="0" customWidth="1"/>
    <col min="3" max="3" width="5.00390625" style="0" customWidth="1"/>
    <col min="4" max="4" width="10.00390625" style="0" customWidth="1"/>
    <col min="5" max="5" width="8.375" style="0" customWidth="1"/>
    <col min="6" max="6" width="6.00390625" style="0" customWidth="1"/>
    <col min="7" max="7" width="13.375" style="0" customWidth="1"/>
    <col min="8" max="8" width="10.25390625" style="0" bestFit="1" customWidth="1"/>
    <col min="9" max="9" width="4.875" style="0" customWidth="1"/>
    <col min="10" max="10" width="6.75390625" style="0" customWidth="1"/>
    <col min="11" max="11" width="11.375" style="0" customWidth="1"/>
    <col min="14" max="14" width="6.25390625" style="0" customWidth="1"/>
    <col min="16" max="16" width="6.375" style="0" customWidth="1"/>
    <col min="18" max="18" width="10.00390625" style="0" bestFit="1" customWidth="1"/>
  </cols>
  <sheetData>
    <row r="3" ht="18.75">
      <c r="B3" s="9" t="s">
        <v>40</v>
      </c>
    </row>
    <row r="6" spans="1:6" ht="12.75" hidden="1">
      <c r="A6" s="3"/>
      <c r="B6" s="3"/>
      <c r="C6" s="3"/>
      <c r="D6" s="3"/>
      <c r="E6" s="3"/>
      <c r="F6" s="3"/>
    </row>
    <row r="7" spans="1:6" ht="12.75" hidden="1">
      <c r="A7" s="3"/>
      <c r="B7" s="3" t="s">
        <v>0</v>
      </c>
      <c r="C7" s="3"/>
      <c r="D7" s="3"/>
      <c r="E7" s="50">
        <v>1000</v>
      </c>
      <c r="F7" s="4" t="s">
        <v>8</v>
      </c>
    </row>
    <row r="8" spans="1:6" ht="12.75" hidden="1">
      <c r="A8" s="3"/>
      <c r="B8" s="3" t="s">
        <v>1</v>
      </c>
      <c r="C8" s="3"/>
      <c r="D8" s="3"/>
      <c r="E8" s="49">
        <v>1000</v>
      </c>
      <c r="F8" s="4" t="s">
        <v>8</v>
      </c>
    </row>
    <row r="9" spans="1:6" ht="12.75" hidden="1">
      <c r="A9" s="3"/>
      <c r="B9" s="3" t="s">
        <v>2</v>
      </c>
      <c r="C9" s="3"/>
      <c r="D9" s="3"/>
      <c r="E9" s="51">
        <v>0</v>
      </c>
      <c r="F9" s="4" t="s">
        <v>8</v>
      </c>
    </row>
    <row r="10" spans="1:7" ht="12.75" hidden="1">
      <c r="A10" s="3"/>
      <c r="B10" s="3" t="s">
        <v>3</v>
      </c>
      <c r="C10" s="3"/>
      <c r="D10" s="3"/>
      <c r="E10" s="49">
        <f>IF(E7&gt;=E8,E7,E8)</f>
        <v>1000</v>
      </c>
      <c r="F10" s="4" t="s">
        <v>8</v>
      </c>
      <c r="G10" s="7"/>
    </row>
    <row r="11" spans="1:7" ht="13.5" customHeight="1">
      <c r="A11" s="3"/>
      <c r="B11" s="3" t="s">
        <v>4</v>
      </c>
      <c r="C11" s="3"/>
      <c r="D11" s="3"/>
      <c r="E11" s="49">
        <v>2510</v>
      </c>
      <c r="F11" s="11" t="s">
        <v>8</v>
      </c>
      <c r="G11" s="5"/>
    </row>
    <row r="12" spans="1:12" ht="16.5" customHeight="1" hidden="1">
      <c r="A12" s="3"/>
      <c r="B12" s="3" t="s">
        <v>5</v>
      </c>
      <c r="C12" s="3"/>
      <c r="D12" s="3"/>
      <c r="E12" s="12">
        <f>IF(E20&lt;=600,FLOOR(E18/600,1),D45)</f>
        <v>2</v>
      </c>
      <c r="F12" s="11" t="s">
        <v>29</v>
      </c>
      <c r="G12" s="74"/>
      <c r="H12" s="19"/>
      <c r="I12" s="19"/>
      <c r="J12" s="19"/>
      <c r="L12" t="s">
        <v>37</v>
      </c>
    </row>
    <row r="13" spans="1:10" ht="18" customHeight="1">
      <c r="A13" s="3"/>
      <c r="B13" s="3" t="s">
        <v>6</v>
      </c>
      <c r="C13" s="3"/>
      <c r="D13" s="3"/>
      <c r="E13" s="83">
        <f>D46</f>
        <v>3</v>
      </c>
      <c r="F13" s="11" t="s">
        <v>29</v>
      </c>
      <c r="G13" s="75"/>
      <c r="H13" s="20"/>
      <c r="I13" s="19"/>
      <c r="J13" s="19"/>
    </row>
    <row r="14" spans="1:10" ht="21" customHeight="1" hidden="1">
      <c r="A14" s="3"/>
      <c r="B14" s="3"/>
      <c r="C14" s="3"/>
      <c r="D14" s="70"/>
      <c r="E14" s="11"/>
      <c r="F14" s="10"/>
      <c r="G14" s="74"/>
      <c r="H14" s="19"/>
      <c r="I14" s="19"/>
      <c r="J14" s="19"/>
    </row>
    <row r="15" spans="1:7" ht="17.25" customHeight="1" hidden="1">
      <c r="A15" s="3"/>
      <c r="B15" s="69" t="s">
        <v>41</v>
      </c>
      <c r="C15" s="10"/>
      <c r="D15" s="10"/>
      <c r="E15" s="71"/>
      <c r="F15" s="10"/>
      <c r="G15" s="76"/>
    </row>
    <row r="16" spans="1:7" ht="17.25" customHeight="1" hidden="1">
      <c r="A16" s="3"/>
      <c r="B16" s="69" t="s">
        <v>42</v>
      </c>
      <c r="C16" s="10"/>
      <c r="D16" s="10"/>
      <c r="E16" s="71"/>
      <c r="F16" s="10"/>
      <c r="G16" s="76"/>
    </row>
    <row r="17" spans="1:7" ht="15.75" customHeight="1" hidden="1">
      <c r="A17" s="3"/>
      <c r="B17" s="10" t="s">
        <v>7</v>
      </c>
      <c r="C17" s="10"/>
      <c r="D17" s="10"/>
      <c r="E17" s="13">
        <f>SQRT((ABS(E7-E9-50))^2+(E8-50)^2)</f>
        <v>1343.5028842544402</v>
      </c>
      <c r="F17" s="11" t="s">
        <v>8</v>
      </c>
      <c r="G17" s="5"/>
    </row>
    <row r="18" spans="1:7" ht="12.75" hidden="1">
      <c r="A18" s="3"/>
      <c r="B18" s="10" t="s">
        <v>9</v>
      </c>
      <c r="C18" s="10"/>
      <c r="D18" s="10"/>
      <c r="E18" s="14">
        <f>IF(D47=1,(2*3.14*(E10-50)*2*DEGREES(ASIN(E17/2/(E10-50))))/360,(2*3.14*(E10+50)*2*DEGREES(ASIN(E17/2/(E10+50))))/360)</f>
        <v>1491.5</v>
      </c>
      <c r="F18" s="11" t="s">
        <v>8</v>
      </c>
      <c r="G18" s="5"/>
    </row>
    <row r="19" spans="1:7" ht="12.75" hidden="1">
      <c r="A19" s="3"/>
      <c r="B19" s="10" t="s">
        <v>25</v>
      </c>
      <c r="C19" s="10"/>
      <c r="D19" s="10"/>
      <c r="E19" s="15">
        <f>(E18+(E12-1)*D42)/E12</f>
        <v>763.25</v>
      </c>
      <c r="F19" s="11" t="s">
        <v>8</v>
      </c>
      <c r="G19" s="5"/>
    </row>
    <row r="20" spans="1:7" ht="12.75" hidden="1">
      <c r="A20" s="3"/>
      <c r="B20" s="3" t="s">
        <v>33</v>
      </c>
      <c r="C20" s="3"/>
      <c r="D20" s="10"/>
      <c r="E20" s="15">
        <f>(E18+(D45-1)*D42)/D45</f>
        <v>399.125</v>
      </c>
      <c r="F20" s="11"/>
      <c r="G20" s="5"/>
    </row>
    <row r="21" spans="1:7" ht="12.75" hidden="1">
      <c r="A21" s="3"/>
      <c r="B21" s="3" t="s">
        <v>26</v>
      </c>
      <c r="C21" s="3"/>
      <c r="D21" s="10"/>
      <c r="E21" s="15">
        <f>E19-D42*2</f>
        <v>693.25</v>
      </c>
      <c r="F21" s="11" t="s">
        <v>8</v>
      </c>
      <c r="G21" s="5"/>
    </row>
    <row r="22" spans="1:7" ht="12.75">
      <c r="A22" s="3"/>
      <c r="B22" s="3" t="s">
        <v>27</v>
      </c>
      <c r="C22" s="3"/>
      <c r="D22" s="10"/>
      <c r="E22" s="14">
        <f>IF(E12=1,E11-25,E11-40)</f>
        <v>2470</v>
      </c>
      <c r="F22" s="11" t="s">
        <v>8</v>
      </c>
      <c r="G22" s="5"/>
    </row>
    <row r="23" spans="1:7" ht="12.75" hidden="1">
      <c r="A23" s="3"/>
      <c r="B23" s="3" t="s">
        <v>38</v>
      </c>
      <c r="C23" s="3"/>
      <c r="D23" s="10"/>
      <c r="E23" s="16">
        <f>E12</f>
        <v>2</v>
      </c>
      <c r="F23" s="11" t="s">
        <v>15</v>
      </c>
      <c r="G23" s="5"/>
    </row>
    <row r="24" spans="1:7" ht="12.75" hidden="1">
      <c r="A24" s="3"/>
      <c r="B24" s="3" t="s">
        <v>14</v>
      </c>
      <c r="C24" s="3"/>
      <c r="D24" s="10"/>
      <c r="E24" s="16">
        <f>E38</f>
        <v>11</v>
      </c>
      <c r="F24" s="11" t="s">
        <v>23</v>
      </c>
      <c r="G24" s="5"/>
    </row>
    <row r="25" spans="1:7" ht="12.75" hidden="1">
      <c r="A25" s="3"/>
      <c r="B25" s="3" t="s">
        <v>16</v>
      </c>
      <c r="C25" s="3"/>
      <c r="D25" s="10"/>
      <c r="E25" s="16">
        <f>CEILING(((E18*D46*2+(E22*E12*2))/1000),1)</f>
        <v>19</v>
      </c>
      <c r="F25" s="11" t="s">
        <v>23</v>
      </c>
      <c r="G25" s="5"/>
    </row>
    <row r="26" spans="1:7" ht="12.75" hidden="1">
      <c r="A26" s="3"/>
      <c r="B26" s="3" t="s">
        <v>39</v>
      </c>
      <c r="C26" s="3"/>
      <c r="D26" s="10"/>
      <c r="E26" s="16">
        <f>(E13+1)*2*E12</f>
        <v>16</v>
      </c>
      <c r="F26" s="11" t="s">
        <v>29</v>
      </c>
      <c r="G26" s="5"/>
    </row>
    <row r="27" spans="1:7" ht="12.75" hidden="1">
      <c r="A27" s="3"/>
      <c r="B27" s="3"/>
      <c r="C27" s="3"/>
      <c r="D27" s="10"/>
      <c r="E27" s="17"/>
      <c r="F27" s="11"/>
      <c r="G27" s="5"/>
    </row>
    <row r="28" spans="1:7" ht="12.75" hidden="1">
      <c r="A28" s="3"/>
      <c r="B28" s="3"/>
      <c r="C28" s="3"/>
      <c r="D28" s="10"/>
      <c r="E28" s="72"/>
      <c r="F28" s="11"/>
      <c r="G28" s="5"/>
    </row>
    <row r="29" spans="1:7" ht="15" hidden="1">
      <c r="A29" s="3"/>
      <c r="B29" s="8"/>
      <c r="C29" s="3"/>
      <c r="D29" s="10"/>
      <c r="E29" s="73"/>
      <c r="F29" s="11"/>
      <c r="G29" s="5"/>
    </row>
    <row r="30" spans="5:7" ht="12.75" hidden="1">
      <c r="E30" s="77"/>
      <c r="F30" s="5"/>
      <c r="G30" s="5"/>
    </row>
    <row r="31" spans="5:7" ht="12.75" hidden="1">
      <c r="E31" s="77"/>
      <c r="F31" s="5"/>
      <c r="G31" s="5"/>
    </row>
    <row r="32" spans="5:7" ht="12.75" hidden="1">
      <c r="E32" s="5"/>
      <c r="F32" s="5"/>
      <c r="G32" s="5"/>
    </row>
    <row r="33" spans="2:9" ht="12.75" hidden="1">
      <c r="B33" t="s">
        <v>19</v>
      </c>
      <c r="E33" s="5">
        <f>CEILING(((E18/E12)*(D46+1)*E12)/1000,0.01)</f>
        <v>5.97</v>
      </c>
      <c r="F33" s="5" t="s">
        <v>10</v>
      </c>
      <c r="G33" s="5"/>
      <c r="H33" s="21"/>
      <c r="I33" s="21"/>
    </row>
    <row r="34" spans="2:9" ht="12.75" hidden="1">
      <c r="B34" t="s">
        <v>24</v>
      </c>
      <c r="E34" s="5">
        <f>CEILING(E18/1000,0.01)*3</f>
        <v>4.5</v>
      </c>
      <c r="F34" s="5" t="s">
        <v>10</v>
      </c>
      <c r="G34" s="5"/>
      <c r="H34" s="21"/>
      <c r="I34" s="21"/>
    </row>
    <row r="35" spans="2:9" ht="12.75" hidden="1">
      <c r="B35" t="s">
        <v>17</v>
      </c>
      <c r="E35" s="5">
        <f>CEILING(E18/1000,0.01)*2</f>
        <v>3</v>
      </c>
      <c r="F35" s="5" t="s">
        <v>10</v>
      </c>
      <c r="G35" s="5"/>
      <c r="H35" s="21"/>
      <c r="I35" s="21"/>
    </row>
    <row r="36" spans="2:9" ht="12.75" hidden="1">
      <c r="B36" t="s">
        <v>11</v>
      </c>
      <c r="E36" s="5">
        <f>CEILING(E12*2*2.65,0.01)</f>
        <v>10.6</v>
      </c>
      <c r="F36" s="5" t="s">
        <v>10</v>
      </c>
      <c r="G36" s="5"/>
      <c r="H36" s="21"/>
      <c r="I36" s="21"/>
    </row>
    <row r="37" spans="2:9" ht="12.75" hidden="1">
      <c r="B37" t="s">
        <v>12</v>
      </c>
      <c r="E37" s="5">
        <f>CEILING(((E18/1000)*D46*2+(E18/1000)*2+E36),1)</f>
        <v>23</v>
      </c>
      <c r="F37" s="5" t="s">
        <v>10</v>
      </c>
      <c r="G37" s="5"/>
      <c r="H37" s="21"/>
      <c r="I37" s="21"/>
    </row>
    <row r="38" spans="2:9" ht="12.75" hidden="1">
      <c r="B38" t="s">
        <v>13</v>
      </c>
      <c r="E38" s="5">
        <f>CEILING((E11/1000)*E12*2,1)</f>
        <v>11</v>
      </c>
      <c r="F38" s="5" t="s">
        <v>10</v>
      </c>
      <c r="G38" s="5"/>
      <c r="H38" s="21"/>
      <c r="I38" s="21"/>
    </row>
    <row r="39" spans="2:9" ht="12.75" hidden="1">
      <c r="B39" t="s">
        <v>28</v>
      </c>
      <c r="E39" s="1">
        <f>E12</f>
        <v>2</v>
      </c>
      <c r="F39" s="5"/>
      <c r="G39" s="5"/>
      <c r="H39" s="21"/>
      <c r="I39" s="21"/>
    </row>
    <row r="40" spans="5:9" ht="12.75" hidden="1">
      <c r="E40" s="5"/>
      <c r="F40" s="5"/>
      <c r="G40" s="5"/>
      <c r="H40" s="21"/>
      <c r="I40" s="21"/>
    </row>
    <row r="41" spans="1:18" ht="12.75" hidden="1">
      <c r="A41" t="s">
        <v>18</v>
      </c>
      <c r="E41" s="5"/>
      <c r="F41" s="5"/>
      <c r="G41" s="5"/>
      <c r="H41" s="21"/>
      <c r="I41" s="21"/>
      <c r="L41" s="5"/>
      <c r="M41" s="5"/>
      <c r="N41" s="5"/>
      <c r="O41" s="5"/>
      <c r="P41" s="5"/>
      <c r="Q41" s="5"/>
      <c r="R41" s="6"/>
    </row>
    <row r="42" spans="1:18" ht="12.75" hidden="1">
      <c r="A42" t="s">
        <v>20</v>
      </c>
      <c r="B42" s="78">
        <v>2</v>
      </c>
      <c r="C42" s="78"/>
      <c r="D42" s="79" t="str">
        <f>IF(B42=2,"35",IF(B42=1,"26","39"))</f>
        <v>35</v>
      </c>
      <c r="E42" s="78"/>
      <c r="F42" s="78"/>
      <c r="G42" s="78"/>
      <c r="L42" s="5"/>
      <c r="M42" s="5"/>
      <c r="N42" s="5"/>
      <c r="O42" s="5"/>
      <c r="P42" s="5"/>
      <c r="Q42" s="5"/>
      <c r="R42" s="6"/>
    </row>
    <row r="43" spans="1:7" ht="12.75" hidden="1">
      <c r="A43" s="2" t="s">
        <v>21</v>
      </c>
      <c r="B43" s="80"/>
      <c r="C43" s="78"/>
      <c r="D43" s="78"/>
      <c r="E43" s="78"/>
      <c r="F43" s="78"/>
      <c r="G43" s="78"/>
    </row>
    <row r="44" spans="1:7" ht="12.75" hidden="1">
      <c r="A44" t="s">
        <v>22</v>
      </c>
      <c r="B44" s="78"/>
      <c r="C44" s="78"/>
      <c r="D44" s="78"/>
      <c r="E44" s="78"/>
      <c r="F44" s="78"/>
      <c r="G44" s="78"/>
    </row>
    <row r="45" spans="2:7" ht="12.75" hidden="1">
      <c r="B45" s="78"/>
      <c r="C45" s="78"/>
      <c r="D45" s="81">
        <v>4</v>
      </c>
      <c r="E45" s="78">
        <f>IF(D45=E12,D45,0)</f>
        <v>0</v>
      </c>
      <c r="F45" s="78">
        <f>E45</f>
        <v>0</v>
      </c>
      <c r="G45" s="78"/>
    </row>
    <row r="46" spans="1:7" ht="12.75" hidden="1">
      <c r="A46" t="s">
        <v>36</v>
      </c>
      <c r="D46" s="82">
        <v>3</v>
      </c>
      <c r="E46" s="5"/>
      <c r="F46" s="5"/>
      <c r="G46" s="5"/>
    </row>
    <row r="47" spans="1:7" ht="12.75" hidden="1">
      <c r="A47" t="s">
        <v>43</v>
      </c>
      <c r="D47" s="93">
        <v>1</v>
      </c>
      <c r="E47" s="5"/>
      <c r="F47" s="5"/>
      <c r="G47" s="5"/>
    </row>
    <row r="48" spans="1:7" ht="12.75" hidden="1">
      <c r="A48" s="23"/>
      <c r="E48" s="88"/>
      <c r="F48" s="88"/>
      <c r="G48" s="5"/>
    </row>
    <row r="49" spans="5:7" ht="12.75">
      <c r="E49" s="88"/>
      <c r="F49" s="88"/>
      <c r="G49" s="5"/>
    </row>
    <row r="50" spans="2:18" ht="14.25">
      <c r="B50" s="96" t="s">
        <v>44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</row>
    <row r="51" spans="2:12" ht="12.75">
      <c r="B51" s="43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9" s="2" customFormat="1" ht="12.75">
      <c r="A52"/>
      <c r="B52" s="44" t="s">
        <v>30</v>
      </c>
      <c r="C52"/>
      <c r="D52"/>
      <c r="E52" s="97" t="s">
        <v>31</v>
      </c>
      <c r="F52" s="97"/>
      <c r="G52"/>
      <c r="H52"/>
      <c r="I52"/>
      <c r="J52" s="98" t="s">
        <v>34</v>
      </c>
      <c r="K52" s="99"/>
      <c r="L52" s="99"/>
      <c r="M52"/>
      <c r="N52"/>
      <c r="O52" s="98" t="s">
        <v>35</v>
      </c>
      <c r="P52" s="99"/>
      <c r="Q52" s="99"/>
      <c r="R52"/>
      <c r="S52"/>
    </row>
    <row r="53" spans="1:19" s="2" customFormat="1" ht="13.5" thickBo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.75">
      <c r="B54" s="31"/>
      <c r="C54" s="42">
        <f>IF(B64=0,0,(IF(E12=1,C58+B56+42,C58+10+B56)))</f>
        <v>2455</v>
      </c>
      <c r="D54" s="53"/>
      <c r="E54" s="24"/>
      <c r="F54" s="25"/>
      <c r="G54" s="26"/>
      <c r="H54" s="39">
        <f>IF(E64=0,0,(IF(E12=1,H57+E55+42,H57+10+E58)))</f>
        <v>0</v>
      </c>
      <c r="I54" s="54"/>
      <c r="J54" s="24"/>
      <c r="K54" s="25"/>
      <c r="L54" s="26"/>
      <c r="M54" s="40">
        <f>IF(J56=0,0,(IF(E12=1,M57+J56+42,M57+10+J56)))</f>
        <v>0</v>
      </c>
      <c r="N54" s="54"/>
      <c r="O54" s="89"/>
      <c r="P54" s="25"/>
      <c r="Q54" s="26"/>
      <c r="R54" s="90">
        <f>IF(R55=0,0,(IF(E12=1,R55+O55+42,R55+10+O55)))</f>
        <v>0</v>
      </c>
      <c r="S54" s="54"/>
    </row>
    <row r="55" spans="2:19" ht="13.5" thickBot="1">
      <c r="B55" s="35"/>
      <c r="C55" s="40"/>
      <c r="D55" s="53"/>
      <c r="E55" s="85">
        <f>IF(E64=0,0,(IF(E12&gt;1,E64,E64-15)))</f>
        <v>0</v>
      </c>
      <c r="F55" s="18"/>
      <c r="G55" s="28"/>
      <c r="H55" s="39"/>
      <c r="I55" s="54"/>
      <c r="J55" s="27"/>
      <c r="K55" s="57"/>
      <c r="L55" s="58"/>
      <c r="M55" s="40"/>
      <c r="N55" s="54"/>
      <c r="O55" s="65">
        <f>IF(O65=0,0,(IF(E12=1,O57-15,O57)))</f>
        <v>0</v>
      </c>
      <c r="P55" s="22"/>
      <c r="Q55" s="30"/>
      <c r="R55" s="90">
        <f>IF(R65=0,0,R57+10+O57)</f>
        <v>0</v>
      </c>
      <c r="S55" s="54"/>
    </row>
    <row r="56" spans="2:19" ht="13.5" thickBot="1">
      <c r="B56" s="38">
        <f>IF(E13=3,IF(E12=1,B64-15,B64),0)</f>
        <v>793.3333333333333</v>
      </c>
      <c r="C56" s="40"/>
      <c r="D56" s="53"/>
      <c r="E56" s="65"/>
      <c r="F56" s="22"/>
      <c r="G56" s="30"/>
      <c r="H56" s="39"/>
      <c r="I56" s="54"/>
      <c r="J56" s="65">
        <f>IF(J65=0,0,(IF(E12=1,J65-15,J65)))</f>
        <v>0</v>
      </c>
      <c r="K56" s="59"/>
      <c r="L56" s="60"/>
      <c r="M56" s="40"/>
      <c r="N56" s="54"/>
      <c r="O56" s="86"/>
      <c r="P56" s="25"/>
      <c r="Q56" s="26"/>
      <c r="R56" s="90"/>
      <c r="S56" s="54"/>
    </row>
    <row r="57" spans="2:19" ht="13.5" thickBot="1">
      <c r="B57" s="36"/>
      <c r="C57" s="40"/>
      <c r="D57" s="53"/>
      <c r="E57" s="86"/>
      <c r="F57" s="25"/>
      <c r="G57" s="26"/>
      <c r="H57" s="39">
        <f>IF(E64=0,0,H60+10+E58)</f>
        <v>0</v>
      </c>
      <c r="I57" s="54"/>
      <c r="J57" s="87"/>
      <c r="K57" s="57"/>
      <c r="L57" s="58"/>
      <c r="M57" s="40">
        <f>IF(J58=0,0,M59+10+J58)</f>
        <v>0</v>
      </c>
      <c r="N57" s="54"/>
      <c r="O57" s="65">
        <f>O65</f>
        <v>0</v>
      </c>
      <c r="P57" s="22"/>
      <c r="Q57" s="30"/>
      <c r="R57" s="90">
        <f>IF(R65=0,0,R59+10+O59)</f>
        <v>0</v>
      </c>
      <c r="S57" s="54"/>
    </row>
    <row r="58" spans="2:19" ht="13.5" thickBot="1">
      <c r="B58" s="48" t="s">
        <v>32</v>
      </c>
      <c r="C58" s="39">
        <f>IF(B64=0,0,B60+10+C62)</f>
        <v>1651.6666666666665</v>
      </c>
      <c r="D58" s="53"/>
      <c r="E58" s="85">
        <f>E64</f>
        <v>0</v>
      </c>
      <c r="F58" s="18"/>
      <c r="G58" s="28"/>
      <c r="H58" s="39"/>
      <c r="I58" s="54"/>
      <c r="J58" s="65">
        <f>IF(E13=5,(IF(L63=0,((E11-40-70-40)/5*3-J60)*0.5,(E11-150-(L63*2+J60))*0.5)),0)</f>
        <v>0</v>
      </c>
      <c r="K58" s="59"/>
      <c r="L58" s="60"/>
      <c r="M58" s="40"/>
      <c r="N58" s="54"/>
      <c r="O58" s="86"/>
      <c r="P58" s="25"/>
      <c r="Q58" s="26"/>
      <c r="R58" s="90"/>
      <c r="S58" s="54"/>
    </row>
    <row r="59" spans="2:19" ht="13.5" thickBot="1">
      <c r="B59" s="52">
        <v>0</v>
      </c>
      <c r="C59" s="40"/>
      <c r="D59" s="53"/>
      <c r="E59" s="65"/>
      <c r="F59" s="22"/>
      <c r="G59" s="30"/>
      <c r="H59" s="39"/>
      <c r="I59" s="54"/>
      <c r="J59" s="94" t="s">
        <v>32</v>
      </c>
      <c r="K59" s="95"/>
      <c r="L59" s="68">
        <v>0</v>
      </c>
      <c r="M59" s="40">
        <f>IF(J60=0,0,M61+10+J60)</f>
        <v>0</v>
      </c>
      <c r="N59" s="54"/>
      <c r="O59" s="65">
        <f>O65</f>
        <v>0</v>
      </c>
      <c r="P59" s="22"/>
      <c r="Q59" s="30"/>
      <c r="R59" s="90">
        <f>IF(R65=0,0,R61+10+O61)</f>
        <v>0</v>
      </c>
      <c r="S59" s="54"/>
    </row>
    <row r="60" spans="2:19" ht="13.5" thickBot="1">
      <c r="B60" s="38">
        <f>IF(E13=3,(IF(B59=0,(E11-40-70-(E13-1)*10)/3,B59)),0)</f>
        <v>793.3333333333334</v>
      </c>
      <c r="C60" s="40"/>
      <c r="D60" s="53"/>
      <c r="E60" s="86"/>
      <c r="F60" s="25"/>
      <c r="G60" s="26"/>
      <c r="H60" s="39">
        <f>IF(E64=0,0,H63+10+E61)</f>
        <v>0</v>
      </c>
      <c r="I60" s="54"/>
      <c r="J60" s="84">
        <f>IF(E13=5,(IF(L59=0,(E11-40-70-40)/5,L59)),0)</f>
        <v>0</v>
      </c>
      <c r="K60" s="61"/>
      <c r="L60" s="62"/>
      <c r="M60" s="40"/>
      <c r="N60" s="54"/>
      <c r="O60" s="86"/>
      <c r="P60" s="25"/>
      <c r="Q60" s="26"/>
      <c r="R60" s="90"/>
      <c r="S60" s="54"/>
    </row>
    <row r="61" spans="2:19" ht="13.5" thickBot="1">
      <c r="B61" s="36"/>
      <c r="C61" s="40"/>
      <c r="D61" s="53"/>
      <c r="E61" s="85">
        <f>E64</f>
        <v>0</v>
      </c>
      <c r="F61" s="18"/>
      <c r="G61" s="28"/>
      <c r="H61" s="39"/>
      <c r="I61" s="54"/>
      <c r="J61" s="46"/>
      <c r="K61" s="55"/>
      <c r="L61" s="56"/>
      <c r="M61" s="40">
        <f>IF(J62=0,0,M63+10+J62)</f>
        <v>0</v>
      </c>
      <c r="N61" s="54"/>
      <c r="O61" s="65">
        <f>O65</f>
        <v>0</v>
      </c>
      <c r="P61" s="22"/>
      <c r="Q61" s="30"/>
      <c r="R61" s="90">
        <f>IF(R65=0,0,R63+10+O63)</f>
        <v>0</v>
      </c>
      <c r="S61" s="54"/>
    </row>
    <row r="62" spans="2:19" ht="13.5" thickBot="1">
      <c r="B62" s="37"/>
      <c r="C62" s="39">
        <f>IF(B64=0,0,C65+10+B64)</f>
        <v>848.3333333333333</v>
      </c>
      <c r="D62" s="53"/>
      <c r="E62" s="65"/>
      <c r="F62" s="22"/>
      <c r="G62" s="30"/>
      <c r="H62" s="39"/>
      <c r="I62" s="54"/>
      <c r="J62" s="65">
        <f>IF(E13=5,J58,0)</f>
        <v>0</v>
      </c>
      <c r="K62" s="59"/>
      <c r="L62" s="60"/>
      <c r="M62" s="40"/>
      <c r="N62" s="54"/>
      <c r="O62" s="89"/>
      <c r="P62" s="25"/>
      <c r="Q62" s="26"/>
      <c r="R62" s="90"/>
      <c r="S62" s="54"/>
    </row>
    <row r="63" spans="2:19" ht="13.5" thickBot="1">
      <c r="B63" s="35"/>
      <c r="C63" s="40"/>
      <c r="D63" s="53"/>
      <c r="E63" s="86"/>
      <c r="F63" s="25"/>
      <c r="G63" s="26"/>
      <c r="H63" s="39">
        <f>IF(E64=0,0,H65+10+E64)</f>
        <v>0</v>
      </c>
      <c r="I63" s="54"/>
      <c r="J63" s="91" t="s">
        <v>32</v>
      </c>
      <c r="K63" s="63"/>
      <c r="L63" s="67">
        <v>0</v>
      </c>
      <c r="M63" s="40">
        <f>IF(J65=0,0,M65+10+J65)</f>
        <v>0</v>
      </c>
      <c r="N63" s="54"/>
      <c r="O63" s="65">
        <f>O65</f>
        <v>0</v>
      </c>
      <c r="P63" s="22"/>
      <c r="Q63" s="30"/>
      <c r="R63" s="90">
        <f>IF(R65=0,0,R65+10+O65)</f>
        <v>0</v>
      </c>
      <c r="S63" s="54"/>
    </row>
    <row r="64" spans="2:19" ht="12.75">
      <c r="B64" s="38">
        <f>IF(E13=3,(E11-40-70-(E13-1)*10-B60)*0.5,0)</f>
        <v>793.3333333333333</v>
      </c>
      <c r="C64" s="40"/>
      <c r="D64" s="53"/>
      <c r="E64" s="85">
        <f>IF(E13=4,(E11-40-70-30)/4,0)</f>
        <v>0</v>
      </c>
      <c r="F64" s="18"/>
      <c r="G64" s="28"/>
      <c r="H64" s="39"/>
      <c r="I64" s="54"/>
      <c r="J64" s="45"/>
      <c r="K64" s="57"/>
      <c r="L64" s="58"/>
      <c r="M64" s="40"/>
      <c r="N64" s="54"/>
      <c r="O64" s="89"/>
      <c r="P64" s="25"/>
      <c r="Q64" s="26"/>
      <c r="R64" s="34"/>
      <c r="S64" s="54"/>
    </row>
    <row r="65" spans="2:19" ht="13.5" thickBot="1">
      <c r="B65" s="32"/>
      <c r="C65" s="40">
        <f>IF(B64=0,0,45)</f>
        <v>45</v>
      </c>
      <c r="D65" s="53"/>
      <c r="E65" s="29"/>
      <c r="F65" s="22"/>
      <c r="G65" s="30"/>
      <c r="H65" s="39">
        <f>IF(E64=0,0,45)</f>
        <v>0</v>
      </c>
      <c r="I65" s="54"/>
      <c r="J65" s="65">
        <f>IF(E13=5,(IF(L63=0,(E11-40-70-40)/5,L63)),0)</f>
        <v>0</v>
      </c>
      <c r="K65" s="59"/>
      <c r="L65" s="60"/>
      <c r="M65" s="40">
        <f>IF(M66=0,0,45)</f>
        <v>0</v>
      </c>
      <c r="N65" s="54"/>
      <c r="O65" s="65">
        <f>IF(E13=6,(E11-40-50-20-50)/6,0)</f>
        <v>0</v>
      </c>
      <c r="P65" s="22"/>
      <c r="Q65" s="30"/>
      <c r="R65" s="34">
        <f>IF(E13=6,45,0)</f>
        <v>0</v>
      </c>
      <c r="S65" s="54"/>
    </row>
    <row r="66" spans="2:19" ht="12.75">
      <c r="B66" s="92"/>
      <c r="C66" s="40">
        <f>IF(B64=0,0,8)</f>
        <v>8</v>
      </c>
      <c r="D66" s="53"/>
      <c r="F66" s="64"/>
      <c r="G66" s="33"/>
      <c r="H66" s="39">
        <f>IF(E64=0,0,8)</f>
        <v>0</v>
      </c>
      <c r="I66" s="54"/>
      <c r="K66" s="64"/>
      <c r="L66" s="47"/>
      <c r="M66" s="40">
        <f>IF(E13=5,8,0)</f>
        <v>0</v>
      </c>
      <c r="N66" s="54"/>
      <c r="P66" s="64"/>
      <c r="R66" s="66">
        <f>IF(E13=6,8,0)</f>
        <v>0</v>
      </c>
      <c r="S66" s="54"/>
    </row>
    <row r="68" spans="11:12" ht="12.75">
      <c r="K68" s="18"/>
      <c r="L68" s="18"/>
    </row>
    <row r="69" spans="11:12" ht="12.75">
      <c r="K69" s="18"/>
      <c r="L69" s="18"/>
    </row>
    <row r="76" s="2" customFormat="1" ht="12.75"/>
    <row r="98" spans="1:2" ht="12.75">
      <c r="A98" s="2"/>
      <c r="B98" s="21"/>
    </row>
    <row r="99" spans="1:2" ht="12.75">
      <c r="A99" s="21"/>
      <c r="B99" s="21"/>
    </row>
  </sheetData>
  <sheetProtection password="8C61" sheet="1" objects="1" scenarios="1" selectLockedCells="1"/>
  <mergeCells count="5">
    <mergeCell ref="J59:K59"/>
    <mergeCell ref="B50:R50"/>
    <mergeCell ref="E52:F52"/>
    <mergeCell ref="J52:L52"/>
    <mergeCell ref="O52:Q52"/>
  </mergeCells>
  <printOptions/>
  <pageMargins left="0.75" right="0.75" top="1" bottom="1" header="0.5" footer="0.5"/>
  <pageSetup horizontalDpi="600" verticalDpi="600" orientation="portrait" paperSize="9" scale="65" r:id="rId2"/>
  <ignoredErrors>
    <ignoredError sqref="E10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s.belanov</dc:creator>
  <cp:keywords/>
  <dc:description/>
  <cp:lastModifiedBy>Вадим</cp:lastModifiedBy>
  <cp:lastPrinted>2012-12-14T16:21:52Z</cp:lastPrinted>
  <dcterms:created xsi:type="dcterms:W3CDTF">2012-01-31T02:07:05Z</dcterms:created>
  <dcterms:modified xsi:type="dcterms:W3CDTF">2014-01-08T11:24:43Z</dcterms:modified>
  <cp:category/>
  <cp:version/>
  <cp:contentType/>
  <cp:contentStatus/>
</cp:coreProperties>
</file>